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u.sharepoint.com/sites/AAR_Executive_CARE_U/Shared Documents/14-งานพัฒนาหลักสูตร/11_พัฒนาหลักสูตรใหม่70/"/>
    </mc:Choice>
  </mc:AlternateContent>
  <xr:revisionPtr revIDLastSave="0" documentId="8_{DF75293C-B875-43D3-886D-10E00FF53C74}" xr6:coauthVersionLast="47" xr6:coauthVersionMax="47" xr10:uidLastSave="{00000000-0000-0000-0000-000000000000}"/>
  <bookViews>
    <workbookView xWindow="-108" yWindow="-108" windowWidth="23256" windowHeight="12456" xr2:uid="{B833DE3A-A284-4DDB-BE62-8A5C5000FE53}"/>
  </bookViews>
  <sheets>
    <sheet name="รายรับ" sheetId="1" r:id="rId1"/>
    <sheet name="รายจ่าย" sheetId="2" r:id="rId2"/>
  </sheets>
  <definedNames>
    <definedName name="_ftn1" localSheetId="0">รายรับ!#REF!</definedName>
    <definedName name="_ftnref1" localSheetId="0">รายรับ!$B$4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E4" i="1" l="1"/>
  <c r="B5" i="1"/>
  <c r="B6" i="2" s="1"/>
  <c r="F5" i="1"/>
  <c r="F4" i="2" s="1"/>
  <c r="C4" i="1"/>
  <c r="E5" i="1"/>
  <c r="E6" i="2" s="1"/>
  <c r="D5" i="1"/>
  <c r="D6" i="2" s="1"/>
  <c r="C5" i="1"/>
  <c r="C4" i="2" s="1"/>
  <c r="O2" i="2"/>
  <c r="B9" i="2"/>
  <c r="P2" i="2"/>
  <c r="Q2" i="2"/>
  <c r="R2" i="2"/>
  <c r="M6" i="2"/>
  <c r="F9" i="2"/>
  <c r="E9" i="2"/>
  <c r="D9" i="2"/>
  <c r="C9" i="2"/>
  <c r="L8" i="2"/>
  <c r="M8" i="2"/>
  <c r="L7" i="2"/>
  <c r="M7" i="2"/>
  <c r="N6" i="2"/>
  <c r="L5" i="2"/>
  <c r="M5" i="2"/>
  <c r="L4" i="2"/>
  <c r="N4" i="2"/>
  <c r="L3" i="2"/>
  <c r="M3" i="2"/>
  <c r="L2" i="2"/>
  <c r="N1" i="2"/>
  <c r="M2" i="2"/>
  <c r="N10" i="2"/>
  <c r="O14" i="2"/>
  <c r="O13" i="2"/>
  <c r="O12" i="2"/>
  <c r="N12" i="2"/>
  <c r="N8" i="2"/>
  <c r="P14" i="2"/>
  <c r="Q14" i="2"/>
  <c r="Q13" i="2"/>
  <c r="P10" i="2"/>
  <c r="O8" i="2"/>
  <c r="O10" i="2"/>
  <c r="P13" i="2"/>
  <c r="M4" i="2"/>
  <c r="F4" i="1" l="1"/>
  <c r="F6" i="1" s="1"/>
  <c r="D4" i="1"/>
  <c r="D6" i="1" s="1"/>
  <c r="B6" i="1"/>
  <c r="F5" i="2"/>
  <c r="B7" i="2"/>
  <c r="F6" i="2"/>
  <c r="F7" i="2"/>
  <c r="D7" i="2"/>
  <c r="E6" i="1"/>
  <c r="D4" i="2"/>
  <c r="D5" i="2"/>
  <c r="E5" i="2"/>
  <c r="C6" i="2"/>
  <c r="C7" i="2"/>
  <c r="C5" i="2"/>
  <c r="B4" i="2"/>
  <c r="E7" i="2"/>
  <c r="E4" i="2"/>
  <c r="C6" i="1"/>
  <c r="B5" i="2"/>
  <c r="C8" i="2" l="1"/>
  <c r="C10" i="2" s="1"/>
  <c r="F8" i="2"/>
  <c r="F10" i="2" s="1"/>
  <c r="D8" i="2"/>
  <c r="D10" i="2" s="1"/>
  <c r="E8" i="2"/>
  <c r="E10" i="2" s="1"/>
  <c r="B8" i="2"/>
  <c r="B10" i="2" s="1"/>
</calcChain>
</file>

<file path=xl/sharedStrings.xml><?xml version="1.0" encoding="utf-8"?>
<sst xmlns="http://schemas.openxmlformats.org/spreadsheetml/2006/main" count="53" uniqueCount="45">
  <si>
    <t>รายละเอียดรายรับ</t>
  </si>
  <si>
    <t>ปีงบประมาณ</t>
  </si>
  <si>
    <t>จำนวนนักศึกษา</t>
  </si>
  <si>
    <t>ที่รับต่อปี</t>
  </si>
  <si>
    <t>เงินงบประมาณแผ่นดิน</t>
  </si>
  <si>
    <t>(เท่ากันทุกปี)</t>
  </si>
  <si>
    <t>งบดำเนินการ</t>
  </si>
  <si>
    <t>เงินบำรุงการศึกษา</t>
  </si>
  <si>
    <t>เงินงบประมาณ</t>
  </si>
  <si>
    <t>ค่าธรรมเนียม</t>
  </si>
  <si>
    <t>รวมรายรับ</t>
  </si>
  <si>
    <t>แผ่นดิน</t>
  </si>
  <si>
    <t>แบบเหมาจ่าย</t>
  </si>
  <si>
    <t>ตามประกาศ</t>
  </si>
  <si>
    <t>ระบุข้อมูลในช่องสีเหลืองเท่านั้น</t>
  </si>
  <si>
    <t>ข้อมูลสำหรับพิจารณาเพื่อนำไปใช้ในการระบุจำนวนเงิน</t>
  </si>
  <si>
    <t>เงินงบประมาณแผ่นดิน งบดำเนินการ</t>
  </si>
  <si>
    <t xml:space="preserve">ผู้สำเร็จการศึกษาด้านสังคมศาสตร์ </t>
  </si>
  <si>
    <t>บาท</t>
  </si>
  <si>
    <t>ผู้สำเร็จการศึกษาด้านวิทยาศาสตร์และเทคโนโลยี</t>
  </si>
  <si>
    <t>ผู้สำเร็จการศึกษาด้านวิทยาศาสตร์สุขภาพ</t>
  </si>
  <si>
    <t>หมวดเงิน</t>
  </si>
  <si>
    <t>1/1</t>
  </si>
  <si>
    <t>หลักสูตรกำหนดให้มีรายจ่ายงบดำเนินการ ดังนี้</t>
  </si>
  <si>
    <t>1/2</t>
  </si>
  <si>
    <t>ค่าตอบแทน</t>
  </si>
  <si>
    <t>เปอร์เซ็นต์</t>
  </si>
  <si>
    <t>2/2</t>
  </si>
  <si>
    <t>ค่าใช้สอย</t>
  </si>
  <si>
    <t xml:space="preserve">   - ค่าตอบแทน</t>
  </si>
  <si>
    <t>3/1</t>
  </si>
  <si>
    <t>ค่าวัสดุ</t>
  </si>
  <si>
    <t xml:space="preserve">   - ค่าใช้สอย</t>
  </si>
  <si>
    <t>3/2</t>
  </si>
  <si>
    <t>ผลรวมไม่เกิน 80 เปอร์เซ็นต์</t>
  </si>
  <si>
    <t xml:space="preserve">   - ค่าวัสดุ</t>
  </si>
  <si>
    <t>4/1</t>
  </si>
  <si>
    <t xml:space="preserve">   - ค่าดำเนินการระดับมหาวิทยาลัย</t>
  </si>
  <si>
    <t>4/2</t>
  </si>
  <si>
    <t>รวมรายจ่าย</t>
  </si>
  <si>
    <t>2/1</t>
  </si>
  <si>
    <t>หรือ</t>
  </si>
  <si>
    <t>จำนวนนิสิตนักศึกษา</t>
  </si>
  <si>
    <t>หลักสูตรสามารถกำหนดตัวเลขงบประมาณ   ในส่วนของงบดำเนินการได้เองโดยไม่ต้องคิดเปอร์เซ็นต์ก็ได้โดยพิจารณาจากข้อมูลที่คาดว่าจะดำเนินการในแต่ละปี</t>
  </si>
  <si>
    <t>ค่าใช้จ่ายต่อหัวในการผลิตบัณฑิต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</si>
</sst>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22"/>
      <color theme="1"/>
      <name val="TH Sarabun New"/>
      <family val="2"/>
    </font>
    <font>
      <b/>
      <sz val="22"/>
      <color rgb="FFFFFF00"/>
      <name val="TH Sarabun New"/>
      <family val="2"/>
    </font>
    <font>
      <sz val="22"/>
      <color rgb="FFFFFF00"/>
      <name val="TH Sarabun New"/>
      <family val="2"/>
    </font>
    <font>
      <b/>
      <sz val="48"/>
      <color rgb="FFFFFF00"/>
      <name val="TH Sarabun New"/>
      <family val="2"/>
    </font>
    <font>
      <sz val="22"/>
      <color rgb="FFFF0000"/>
      <name val="TH Sarabun New"/>
      <family val="2"/>
    </font>
    <font>
      <b/>
      <sz val="16"/>
      <color rgb="FFFFFF00"/>
      <name val="TH Sarabun New"/>
      <family val="2"/>
    </font>
    <font>
      <b/>
      <sz val="20"/>
      <color theme="1"/>
      <name val="TH Sarabun New"/>
      <family val="2"/>
    </font>
    <font>
      <b/>
      <sz val="22"/>
      <color rgb="FFFF0000"/>
      <name val="TH Sarabun New"/>
      <family val="2"/>
    </font>
    <font>
      <b/>
      <sz val="72"/>
      <color rgb="FFFFFF00"/>
      <name val="TH Sarabun New"/>
      <family val="2"/>
    </font>
    <font>
      <b/>
      <sz val="28"/>
      <color rgb="FFFFFF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99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87" fontId="3" fillId="0" borderId="1" xfId="1" applyNumberFormat="1" applyFont="1" applyBorder="1" applyAlignment="1" applyProtection="1">
      <alignment horizontal="right" vertical="center" wrapText="1"/>
    </xf>
    <xf numFmtId="187" fontId="3" fillId="0" borderId="1" xfId="1" applyNumberFormat="1" applyFont="1" applyBorder="1" applyAlignment="1" applyProtection="1">
      <alignment horizontal="right" vertical="top" wrapText="1"/>
    </xf>
    <xf numFmtId="0" fontId="3" fillId="0" borderId="0" xfId="0" applyFont="1" applyAlignment="1" applyProtection="1">
      <alignment horizontal="right"/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187" fontId="3" fillId="0" borderId="0" xfId="0" applyNumberFormat="1" applyFont="1" applyProtection="1">
      <protection locked="0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5" fillId="2" borderId="0" xfId="0" applyFont="1" applyFill="1" applyProtection="1">
      <protection locked="0"/>
    </xf>
    <xf numFmtId="2" fontId="3" fillId="0" borderId="1" xfId="0" applyNumberFormat="1" applyFont="1" applyBorder="1" applyAlignment="1" applyProtection="1">
      <alignment horizontal="right" vertical="center" wrapText="1"/>
      <protection locked="0"/>
    </xf>
    <xf numFmtId="187" fontId="1" fillId="0" borderId="1" xfId="1" applyNumberFormat="1" applyFont="1" applyFill="1" applyBorder="1" applyAlignment="1" applyProtection="1">
      <alignment horizontal="right" vertical="center" wrapText="1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>
      <alignment horizontal="justify" vertical="center" wrapText="1"/>
    </xf>
    <xf numFmtId="187" fontId="3" fillId="0" borderId="1" xfId="1" applyNumberFormat="1" applyFont="1" applyBorder="1" applyAlignment="1" applyProtection="1">
      <alignment horizontal="right" vertical="center"/>
    </xf>
    <xf numFmtId="0" fontId="4" fillId="0" borderId="3" xfId="0" applyFont="1" applyBorder="1" applyAlignment="1">
      <alignment vertical="center" wrapText="1"/>
    </xf>
    <xf numFmtId="187" fontId="3" fillId="0" borderId="3" xfId="1" applyNumberFormat="1" applyFont="1" applyBorder="1" applyAlignment="1" applyProtection="1">
      <alignment horizontal="right" vertical="center" wrapText="1"/>
    </xf>
    <xf numFmtId="187" fontId="3" fillId="0" borderId="3" xfId="1" applyNumberFormat="1" applyFont="1" applyBorder="1" applyAlignment="1" applyProtection="1">
      <alignment horizontal="right"/>
    </xf>
    <xf numFmtId="187" fontId="1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187" fontId="3" fillId="0" borderId="0" xfId="1" applyNumberFormat="1" applyFont="1" applyProtection="1">
      <protection locked="0"/>
    </xf>
    <xf numFmtId="0" fontId="6" fillId="3" borderId="0" xfId="0" applyFont="1" applyFill="1" applyProtection="1">
      <protection locked="0"/>
    </xf>
    <xf numFmtId="16" fontId="3" fillId="0" borderId="0" xfId="0" applyNumberFormat="1" applyFont="1" applyProtection="1">
      <protection locked="0"/>
    </xf>
    <xf numFmtId="0" fontId="7" fillId="3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justify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horizontal="justify" vertical="center" wrapText="1"/>
      <protection locked="0"/>
    </xf>
    <xf numFmtId="187" fontId="3" fillId="0" borderId="2" xfId="1" applyNumberFormat="1" applyFont="1" applyBorder="1" applyAlignment="1" applyProtection="1">
      <alignment vertical="center" wrapText="1"/>
      <protection locked="0"/>
    </xf>
    <xf numFmtId="187" fontId="3" fillId="0" borderId="2" xfId="1" applyNumberFormat="1" applyFont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justify" vertical="center" wrapText="1"/>
      <protection locked="0"/>
    </xf>
    <xf numFmtId="187" fontId="3" fillId="0" borderId="1" xfId="1" applyNumberFormat="1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187" fontId="4" fillId="0" borderId="1" xfId="1" applyNumberFormat="1" applyFont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3" fillId="4" borderId="5" xfId="0" applyFont="1" applyFill="1" applyBorder="1" applyAlignment="1" applyProtection="1">
      <alignment vertical="center"/>
      <protection locked="0"/>
    </xf>
    <xf numFmtId="187" fontId="4" fillId="4" borderId="0" xfId="1" applyNumberFormat="1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7" xfId="0" applyFont="1" applyFill="1" applyBorder="1" applyAlignment="1" applyProtection="1">
      <alignment vertical="center"/>
      <protection locked="0"/>
    </xf>
    <xf numFmtId="187" fontId="4" fillId="4" borderId="7" xfId="1" applyNumberFormat="1" applyFont="1" applyFill="1" applyBorder="1" applyAlignment="1" applyProtection="1">
      <alignment vertical="center"/>
      <protection locked="0"/>
    </xf>
    <xf numFmtId="0" fontId="3" fillId="4" borderId="8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11" fillId="4" borderId="13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5</xdr:col>
      <xdr:colOff>152400</xdr:colOff>
      <xdr:row>54</xdr:row>
      <xdr:rowOff>4391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EBC861-C0B0-1818-AE49-38D1E3869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18847"/>
          <a:ext cx="5979459" cy="9542838"/>
        </a:xfrm>
        <a:prstGeom prst="rect">
          <a:avLst/>
        </a:prstGeom>
      </xdr:spPr>
    </xdr:pic>
    <xdr:clientData/>
  </xdr:twoCellAnchor>
  <xdr:twoCellAnchor editAs="oneCell">
    <xdr:from>
      <xdr:col>5</xdr:col>
      <xdr:colOff>251012</xdr:colOff>
      <xdr:row>15</xdr:row>
      <xdr:rowOff>107576</xdr:rowOff>
    </xdr:from>
    <xdr:to>
      <xdr:col>13</xdr:col>
      <xdr:colOff>673716</xdr:colOff>
      <xdr:row>54</xdr:row>
      <xdr:rowOff>53788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FB83F7-4304-8695-C555-941D56DF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8071" y="4975411"/>
          <a:ext cx="6653174" cy="9735671"/>
        </a:xfrm>
        <a:prstGeom prst="rect">
          <a:avLst/>
        </a:prstGeom>
      </xdr:spPr>
    </xdr:pic>
    <xdr:clientData/>
  </xdr:twoCellAnchor>
  <xdr:twoCellAnchor editAs="oneCell">
    <xdr:from>
      <xdr:col>14</xdr:col>
      <xdr:colOff>179294</xdr:colOff>
      <xdr:row>15</xdr:row>
      <xdr:rowOff>62752</xdr:rowOff>
    </xdr:from>
    <xdr:to>
      <xdr:col>22</xdr:col>
      <xdr:colOff>573741</xdr:colOff>
      <xdr:row>47</xdr:row>
      <xdr:rowOff>95102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279C3D-5805-6DD7-41A6-190180896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27106" y="4930587"/>
          <a:ext cx="5916706" cy="8064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111CD-77FD-4C35-BF03-A783D6EA724A}">
  <dimension ref="A1:M14"/>
  <sheetViews>
    <sheetView tabSelected="1" zoomScale="70" zoomScaleNormal="70" workbookViewId="0">
      <selection activeCell="P6" sqref="P6"/>
    </sheetView>
  </sheetViews>
  <sheetFormatPr defaultColWidth="9" defaultRowHeight="20.25" customHeight="1"/>
  <cols>
    <col min="1" max="1" width="25.75" style="31" customWidth="1"/>
    <col min="2" max="6" width="12.75" style="31" bestFit="1" customWidth="1"/>
    <col min="7" max="7" width="9" style="31"/>
    <col min="8" max="8" width="12.75" style="31" bestFit="1" customWidth="1"/>
    <col min="9" max="10" width="9" style="31"/>
    <col min="11" max="11" width="11" style="31" bestFit="1" customWidth="1"/>
    <col min="12" max="16384" width="9" style="31"/>
  </cols>
  <sheetData>
    <row r="1" spans="1:13" ht="20.25" customHeight="1">
      <c r="A1" s="53" t="s">
        <v>0</v>
      </c>
      <c r="B1" s="54" t="s">
        <v>1</v>
      </c>
      <c r="C1" s="55"/>
      <c r="D1" s="55"/>
      <c r="E1" s="55"/>
      <c r="F1" s="56"/>
      <c r="H1" s="32" t="s">
        <v>2</v>
      </c>
      <c r="I1" s="4"/>
    </row>
    <row r="2" spans="1:13" ht="20.25" customHeight="1">
      <c r="A2" s="53"/>
      <c r="B2" s="52">
        <v>2570</v>
      </c>
      <c r="C2" s="52">
        <v>2571</v>
      </c>
      <c r="D2" s="52">
        <v>2572</v>
      </c>
      <c r="E2" s="52">
        <v>2573</v>
      </c>
      <c r="F2" s="52">
        <v>2574</v>
      </c>
      <c r="H2" s="32" t="s">
        <v>3</v>
      </c>
    </row>
    <row r="3" spans="1:13" ht="20.25" customHeight="1">
      <c r="A3" s="33" t="s">
        <v>4</v>
      </c>
      <c r="B3" s="34"/>
      <c r="C3" s="35"/>
      <c r="D3" s="35"/>
      <c r="E3" s="35"/>
      <c r="F3" s="35"/>
      <c r="H3" s="32" t="s">
        <v>5</v>
      </c>
    </row>
    <row r="4" spans="1:13" ht="20.25" customHeight="1">
      <c r="A4" s="36" t="s">
        <v>6</v>
      </c>
      <c r="B4" s="37">
        <f>I5*I1</f>
        <v>0</v>
      </c>
      <c r="C4" s="38">
        <f>(I5*I1)*2</f>
        <v>0</v>
      </c>
      <c r="D4" s="38">
        <f>(I5*I1)*3</f>
        <v>0</v>
      </c>
      <c r="E4" s="38">
        <f>(I5*I1)*4</f>
        <v>0</v>
      </c>
      <c r="F4" s="38">
        <f>(I5*I1)*4</f>
        <v>0</v>
      </c>
    </row>
    <row r="5" spans="1:13" ht="20.25" customHeight="1">
      <c r="A5" s="39" t="s">
        <v>7</v>
      </c>
      <c r="B5" s="40">
        <f>L5*I1*2</f>
        <v>0</v>
      </c>
      <c r="C5" s="40">
        <f>L5*(I1*2)*2</f>
        <v>0</v>
      </c>
      <c r="D5" s="40">
        <f>L5*(I1*3)*2</f>
        <v>0</v>
      </c>
      <c r="E5" s="40">
        <f>L5*(I1*4)*2</f>
        <v>0</v>
      </c>
      <c r="F5" s="40">
        <f>L5*(I1*4)*2</f>
        <v>0</v>
      </c>
      <c r="H5" s="31" t="s">
        <v>8</v>
      </c>
      <c r="I5" s="4"/>
      <c r="K5" s="32" t="s">
        <v>9</v>
      </c>
      <c r="L5" s="4"/>
    </row>
    <row r="6" spans="1:13" ht="20.25" customHeight="1">
      <c r="A6" s="41" t="s">
        <v>10</v>
      </c>
      <c r="B6" s="42">
        <f>SUM(B4:B5)</f>
        <v>0</v>
      </c>
      <c r="C6" s="42">
        <f>SUM(C4:C5)</f>
        <v>0</v>
      </c>
      <c r="D6" s="42">
        <f>SUM(D4:D5)</f>
        <v>0</v>
      </c>
      <c r="E6" s="42">
        <f>SUM(E4:E5)</f>
        <v>0</v>
      </c>
      <c r="F6" s="42">
        <f>SUM(F4:F5)</f>
        <v>0</v>
      </c>
      <c r="H6" s="31" t="s">
        <v>11</v>
      </c>
      <c r="K6" s="32" t="s">
        <v>12</v>
      </c>
    </row>
    <row r="7" spans="1:13" ht="20.25" customHeight="1">
      <c r="H7" s="31" t="s">
        <v>6</v>
      </c>
      <c r="K7" s="32" t="s">
        <v>13</v>
      </c>
    </row>
    <row r="8" spans="1:13" ht="83.25" customHeight="1">
      <c r="A8" s="61" t="s">
        <v>14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</row>
    <row r="10" spans="1:13" ht="33">
      <c r="A10" s="60" t="s">
        <v>15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 spans="1:13" ht="30">
      <c r="A11" s="57" t="s">
        <v>16</v>
      </c>
      <c r="B11" s="58"/>
      <c r="C11" s="58"/>
      <c r="D11" s="59"/>
    </row>
    <row r="12" spans="1:13" ht="20.25" customHeight="1">
      <c r="A12" s="43" t="s">
        <v>17</v>
      </c>
      <c r="B12" s="44"/>
      <c r="C12" s="45">
        <v>800</v>
      </c>
      <c r="D12" s="46" t="s">
        <v>18</v>
      </c>
    </row>
    <row r="13" spans="1:13" ht="20.25" customHeight="1">
      <c r="A13" s="43" t="s">
        <v>19</v>
      </c>
      <c r="B13" s="44"/>
      <c r="C13" s="47">
        <v>3000</v>
      </c>
      <c r="D13" s="46" t="s">
        <v>18</v>
      </c>
    </row>
    <row r="14" spans="1:13" ht="20.25" customHeight="1">
      <c r="A14" s="48" t="s">
        <v>20</v>
      </c>
      <c r="B14" s="49"/>
      <c r="C14" s="50">
        <v>6000</v>
      </c>
      <c r="D14" s="51" t="s">
        <v>18</v>
      </c>
    </row>
  </sheetData>
  <sheetProtection sheet="1" objects="1" scenarios="1"/>
  <mergeCells count="5">
    <mergeCell ref="A1:A2"/>
    <mergeCell ref="B1:F1"/>
    <mergeCell ref="A11:D11"/>
    <mergeCell ref="A10:M10"/>
    <mergeCell ref="A8:M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AEFA-2A40-4FFE-8342-13D65580A50C}">
  <dimension ref="A1:W14"/>
  <sheetViews>
    <sheetView zoomScale="70" zoomScaleNormal="70" workbookViewId="0">
      <selection activeCell="F16" sqref="F16"/>
    </sheetView>
  </sheetViews>
  <sheetFormatPr defaultColWidth="9" defaultRowHeight="29.25" customHeight="1"/>
  <cols>
    <col min="1" max="1" width="22" style="5" customWidth="1"/>
    <col min="2" max="6" width="14.125" style="5" customWidth="1"/>
    <col min="7" max="7" width="14.25" style="5" customWidth="1"/>
    <col min="8" max="8" width="0" style="5" hidden="1" customWidth="1"/>
    <col min="9" max="9" width="9.875" style="5" hidden="1" customWidth="1"/>
    <col min="10" max="10" width="11.75" style="5" hidden="1" customWidth="1"/>
    <col min="11" max="11" width="3.75" style="6" hidden="1" customWidth="1"/>
    <col min="12" max="12" width="7.375" style="5" hidden="1" customWidth="1"/>
    <col min="13" max="13" width="5" style="5" hidden="1" customWidth="1"/>
    <col min="14" max="14" width="7.25" style="5" hidden="1" customWidth="1"/>
    <col min="15" max="18" width="7.375" style="5" hidden="1" customWidth="1"/>
    <col min="19" max="19" width="9" style="5" customWidth="1"/>
    <col min="20" max="21" width="21.25" style="5" customWidth="1"/>
    <col min="22" max="22" width="24.875" style="5" customWidth="1"/>
    <col min="23" max="16384" width="9" style="5"/>
  </cols>
  <sheetData>
    <row r="1" spans="1:23" ht="29.25" customHeight="1">
      <c r="A1" s="53" t="s">
        <v>21</v>
      </c>
      <c r="B1" s="54" t="s">
        <v>1</v>
      </c>
      <c r="C1" s="55"/>
      <c r="D1" s="55"/>
      <c r="E1" s="55"/>
      <c r="F1" s="56"/>
      <c r="H1" s="9"/>
      <c r="I1" s="24"/>
      <c r="K1" s="10" t="s">
        <v>22</v>
      </c>
      <c r="L1" s="11">
        <v>26250</v>
      </c>
      <c r="M1" s="11"/>
      <c r="N1" s="12" t="str">
        <f>IF(((L1+L2)/2)&gt;26250,"630,000","315,000")</f>
        <v>315,000</v>
      </c>
      <c r="O1" s="24">
        <v>18900</v>
      </c>
      <c r="P1" s="24">
        <v>20035</v>
      </c>
      <c r="Q1" s="24">
        <v>21240</v>
      </c>
      <c r="R1" s="24">
        <v>22510</v>
      </c>
      <c r="T1" s="25" t="s">
        <v>23</v>
      </c>
      <c r="U1" s="25"/>
      <c r="V1" s="25"/>
    </row>
    <row r="2" spans="1:23" ht="29.25" customHeight="1">
      <c r="A2" s="53"/>
      <c r="B2" s="52">
        <v>2570</v>
      </c>
      <c r="C2" s="23">
        <v>2571</v>
      </c>
      <c r="D2" s="23">
        <v>2572</v>
      </c>
      <c r="E2" s="23">
        <v>2573</v>
      </c>
      <c r="F2" s="23">
        <v>2574</v>
      </c>
      <c r="H2" s="9"/>
      <c r="J2" s="26"/>
      <c r="K2" s="10" t="s">
        <v>24</v>
      </c>
      <c r="L2" s="11">
        <f>I1</f>
        <v>0</v>
      </c>
      <c r="M2" s="11">
        <f>L2*12</f>
        <v>0</v>
      </c>
      <c r="O2" s="11">
        <f>O1*2</f>
        <v>37800</v>
      </c>
      <c r="P2" s="11">
        <f>P1*2</f>
        <v>40070</v>
      </c>
      <c r="Q2" s="11">
        <f>Q1*2</f>
        <v>42480</v>
      </c>
      <c r="R2" s="11">
        <f>R1*2</f>
        <v>45020</v>
      </c>
      <c r="T2" s="27" t="s">
        <v>25</v>
      </c>
      <c r="U2" s="13">
        <v>40</v>
      </c>
      <c r="V2" s="27" t="s">
        <v>26</v>
      </c>
    </row>
    <row r="3" spans="1:23" ht="29.25" customHeight="1">
      <c r="A3" s="19" t="s">
        <v>6</v>
      </c>
      <c r="B3" s="20"/>
      <c r="C3" s="21"/>
      <c r="D3" s="21"/>
      <c r="E3" s="21"/>
      <c r="F3" s="21"/>
      <c r="K3" s="10" t="s">
        <v>27</v>
      </c>
      <c r="L3" s="11">
        <f>I1</f>
        <v>0</v>
      </c>
      <c r="M3" s="11">
        <f t="shared" ref="M3:M8" si="0">L3*12</f>
        <v>0</v>
      </c>
      <c r="T3" s="27" t="s">
        <v>28</v>
      </c>
      <c r="U3" s="13">
        <v>20</v>
      </c>
      <c r="V3" s="27" t="s">
        <v>26</v>
      </c>
    </row>
    <row r="4" spans="1:23" ht="29.25" customHeight="1">
      <c r="A4" s="17" t="s">
        <v>29</v>
      </c>
      <c r="B4" s="22">
        <f>(รายรับ!B5*(U2/100))</f>
        <v>0</v>
      </c>
      <c r="C4" s="22">
        <f>(รายรับ!C5*(U2/100))</f>
        <v>0</v>
      </c>
      <c r="D4" s="22">
        <f>(รายรับ!D5*(U2/100))</f>
        <v>0</v>
      </c>
      <c r="E4" s="22">
        <f>(รายรับ!E5*(U2/100))</f>
        <v>0</v>
      </c>
      <c r="F4" s="22">
        <f>(รายรับ!F5*(U2/100))</f>
        <v>0</v>
      </c>
      <c r="K4" s="10" t="s">
        <v>30</v>
      </c>
      <c r="L4" s="11">
        <f>I1</f>
        <v>0</v>
      </c>
      <c r="M4" s="11">
        <f t="shared" si="0"/>
        <v>0</v>
      </c>
      <c r="N4" s="12" t="str">
        <f>IF(((L4+L5)/2)&gt;26250,"707,870","353,935")</f>
        <v>353,935</v>
      </c>
      <c r="T4" s="27" t="s">
        <v>31</v>
      </c>
      <c r="U4" s="13">
        <v>20</v>
      </c>
      <c r="V4" s="27" t="s">
        <v>26</v>
      </c>
    </row>
    <row r="5" spans="1:23" ht="29.25" customHeight="1">
      <c r="A5" s="2" t="s">
        <v>32</v>
      </c>
      <c r="B5" s="15">
        <f>(รายรับ!B5*(U3/100))</f>
        <v>0</v>
      </c>
      <c r="C5" s="15">
        <f>(รายรับ!C5*(U3/100))</f>
        <v>0</v>
      </c>
      <c r="D5" s="15">
        <f>(รายรับ!D5*(U3/100))</f>
        <v>0</v>
      </c>
      <c r="E5" s="15">
        <f>(รายรับ!E5*(U3/100))</f>
        <v>0</v>
      </c>
      <c r="F5" s="15">
        <f>(รายรับ!F5*(U3/100))</f>
        <v>0</v>
      </c>
      <c r="K5" s="10" t="s">
        <v>33</v>
      </c>
      <c r="L5" s="11">
        <f>I1</f>
        <v>0</v>
      </c>
      <c r="M5" s="11">
        <f t="shared" si="0"/>
        <v>0</v>
      </c>
      <c r="T5" s="25" t="s">
        <v>34</v>
      </c>
      <c r="U5" s="25"/>
      <c r="V5" s="25"/>
    </row>
    <row r="6" spans="1:23" ht="29.25" customHeight="1">
      <c r="A6" s="2" t="s">
        <v>35</v>
      </c>
      <c r="B6" s="15">
        <f>(รายรับ!B5*(U4/100))</f>
        <v>0</v>
      </c>
      <c r="C6" s="15">
        <f>(รายรับ!C5*(U4/100))</f>
        <v>0</v>
      </c>
      <c r="D6" s="15">
        <f>(รายรับ!D5*(U4/100))</f>
        <v>0</v>
      </c>
      <c r="E6" s="15">
        <f>(รายรับ!E5*(U4/100))</f>
        <v>0</v>
      </c>
      <c r="F6" s="15">
        <f>(รายรับ!F5*(U4/100))</f>
        <v>0</v>
      </c>
      <c r="H6" s="28"/>
      <c r="K6" s="10" t="s">
        <v>36</v>
      </c>
      <c r="L6" s="5">
        <v>0</v>
      </c>
      <c r="M6" s="11">
        <f t="shared" si="0"/>
        <v>0</v>
      </c>
      <c r="N6" s="12" t="str">
        <f>IF(((L6+L7)/2)&gt;26250,"750,340","375,170")</f>
        <v>375,170</v>
      </c>
      <c r="O6" s="16">
        <v>397680</v>
      </c>
      <c r="T6" s="62" t="s">
        <v>14</v>
      </c>
      <c r="U6" s="62"/>
      <c r="V6" s="62"/>
      <c r="W6" s="62"/>
    </row>
    <row r="7" spans="1:23" ht="48.75" customHeight="1">
      <c r="A7" s="1" t="s">
        <v>37</v>
      </c>
      <c r="B7" s="8">
        <f>รายรับ!B5*20%</f>
        <v>0</v>
      </c>
      <c r="C7" s="8">
        <f>รายรับ!C5*20%</f>
        <v>0</v>
      </c>
      <c r="D7" s="8">
        <f>รายรับ!D5*20%</f>
        <v>0</v>
      </c>
      <c r="E7" s="8">
        <f>รายรับ!E5*20%</f>
        <v>0</v>
      </c>
      <c r="F7" s="8">
        <f>รายรับ!F5*20%</f>
        <v>0</v>
      </c>
      <c r="K7" s="10" t="s">
        <v>38</v>
      </c>
      <c r="L7" s="11">
        <f>I1</f>
        <v>0</v>
      </c>
      <c r="M7" s="11">
        <f t="shared" si="0"/>
        <v>0</v>
      </c>
      <c r="T7" s="62"/>
      <c r="U7" s="62"/>
      <c r="V7" s="62"/>
      <c r="W7" s="62"/>
    </row>
    <row r="8" spans="1:23" ht="29.25" customHeight="1">
      <c r="A8" s="3" t="s">
        <v>39</v>
      </c>
      <c r="B8" s="7">
        <f>B4+B5+B6+B7</f>
        <v>0</v>
      </c>
      <c r="C8" s="7">
        <f>C4+C5+C6+C7</f>
        <v>0</v>
      </c>
      <c r="D8" s="7">
        <f>D4+D5+D6+D7</f>
        <v>0</v>
      </c>
      <c r="E8" s="7">
        <f>E4+E5+E6+E7</f>
        <v>0</v>
      </c>
      <c r="F8" s="7">
        <f>F4+F5+F6+F7</f>
        <v>0</v>
      </c>
      <c r="K8" s="10" t="s">
        <v>40</v>
      </c>
      <c r="L8" s="9" t="e">
        <f>IF(#REF!&lt;13,"26,250","52,500")</f>
        <v>#REF!</v>
      </c>
      <c r="M8" s="11" t="e">
        <f t="shared" si="0"/>
        <v>#REF!</v>
      </c>
      <c r="N8" s="12" t="e">
        <f>IF(((L8+#REF!)/2)&gt;26250,"667,800","333,900")</f>
        <v>#REF!</v>
      </c>
      <c r="O8" s="14" t="e">
        <f>IF((#REF!&gt;"315,000"),"667,800","333,900")</f>
        <v>#REF!</v>
      </c>
      <c r="T8" s="29" t="s">
        <v>41</v>
      </c>
    </row>
    <row r="9" spans="1:23" ht="29.25" customHeight="1">
      <c r="A9" s="3" t="s">
        <v>42</v>
      </c>
      <c r="B9" s="7">
        <f>รายรับ!I1</f>
        <v>0</v>
      </c>
      <c r="C9" s="18">
        <f>รายรับ!I1*2</f>
        <v>0</v>
      </c>
      <c r="D9" s="18">
        <f>รายรับ!I1*3</f>
        <v>0</v>
      </c>
      <c r="E9" s="18">
        <f>รายรับ!I1*4</f>
        <v>0</v>
      </c>
      <c r="F9" s="18">
        <f>รายรับ!I1*4</f>
        <v>0</v>
      </c>
      <c r="K9" s="5"/>
      <c r="T9" s="63" t="s">
        <v>43</v>
      </c>
      <c r="U9" s="63"/>
      <c r="V9" s="63"/>
      <c r="W9" s="63"/>
    </row>
    <row r="10" spans="1:23" ht="50.25" customHeight="1">
      <c r="A10" s="3" t="s">
        <v>44</v>
      </c>
      <c r="B10" s="8" t="e">
        <f>B8/B9</f>
        <v>#DIV/0!</v>
      </c>
      <c r="C10" s="8" t="e">
        <f>C8/C9</f>
        <v>#DIV/0!</v>
      </c>
      <c r="D10" s="8" t="e">
        <f>D8/D9</f>
        <v>#DIV/0!</v>
      </c>
      <c r="E10" s="8" t="e">
        <f>E8/E9</f>
        <v>#DIV/0!</v>
      </c>
      <c r="F10" s="8" t="e">
        <f>F8/F9</f>
        <v>#DIV/0!</v>
      </c>
      <c r="K10" s="5"/>
      <c r="N10" s="12" t="e">
        <f>IF(((#REF!+#REF!)/2)&gt;26250,"707,870","353,935")</f>
        <v>#REF!</v>
      </c>
      <c r="O10" s="14" t="e">
        <f>IF((N8&gt;"333,900"),"707,870","353,935")</f>
        <v>#REF!</v>
      </c>
      <c r="P10" s="14" t="e">
        <f>IF((#REF!&gt;"315,000"),"707,870","353,935")</f>
        <v>#REF!</v>
      </c>
      <c r="T10" s="63"/>
      <c r="U10" s="63"/>
      <c r="V10" s="63"/>
      <c r="W10" s="63"/>
    </row>
    <row r="11" spans="1:23" ht="29.25" customHeight="1">
      <c r="D11" s="30"/>
      <c r="K11" s="5"/>
      <c r="T11" s="63"/>
      <c r="U11" s="63"/>
      <c r="V11" s="63"/>
      <c r="W11" s="63"/>
    </row>
    <row r="12" spans="1:23" ht="29.25" customHeight="1">
      <c r="K12" s="5"/>
      <c r="N12" s="12" t="e">
        <f>IF(((#REF!+#REF!)/2)&gt;26250,"750,340","375,170")</f>
        <v>#REF!</v>
      </c>
      <c r="O12" s="12" t="e">
        <f>IF(((#REF!+#REF!)/2)&gt;26250,"795,360","397,680")</f>
        <v>#REF!</v>
      </c>
      <c r="T12" s="63"/>
      <c r="U12" s="63"/>
      <c r="V12" s="63"/>
      <c r="W12" s="63"/>
    </row>
    <row r="13" spans="1:23" ht="29.25" customHeight="1">
      <c r="K13" s="5"/>
      <c r="O13" s="14" t="e">
        <f>IF((N10&gt;"353,935"),"750,340","375,170")</f>
        <v>#REF!</v>
      </c>
      <c r="P13" s="14" t="e">
        <f>IF((N8&gt;"333,900"),"750,340","375,170")</f>
        <v>#REF!</v>
      </c>
      <c r="Q13" s="14" t="e">
        <f>IF((#REF!&gt;"315,000"),"750,340","375,170")</f>
        <v>#REF!</v>
      </c>
      <c r="T13" s="63"/>
      <c r="U13" s="63"/>
      <c r="V13" s="63"/>
      <c r="W13" s="63"/>
    </row>
    <row r="14" spans="1:23" ht="29.25" customHeight="1">
      <c r="O14" s="14" t="e">
        <f>IF((N10&gt;"353,935"),"795,360","397,680")</f>
        <v>#REF!</v>
      </c>
      <c r="P14" s="14" t="e">
        <f>IF((N8&gt;"333,900"),"795,360","397,680")</f>
        <v>#REF!</v>
      </c>
      <c r="Q14" s="14" t="e">
        <f>IF((#REF!&gt;"315,000"),"795,360","397,680")</f>
        <v>#REF!</v>
      </c>
    </row>
  </sheetData>
  <sheetProtection sheet="1" objects="1" scenarios="1"/>
  <mergeCells count="4">
    <mergeCell ref="A1:A2"/>
    <mergeCell ref="B1:F1"/>
    <mergeCell ref="T6:W7"/>
    <mergeCell ref="T9:W1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d6506d-d80a-48ba-9671-1f05194d0044" xsi:nil="true"/>
    <lcf76f155ced4ddcb4097134ff3c332f xmlns="f4ae24ed-51a1-488e-8539-2c544ff9b8f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F749E291BD58488F14F910A41064CD" ma:contentTypeVersion="11" ma:contentTypeDescription="Create a new document." ma:contentTypeScope="" ma:versionID="f0fa707dfea0ba89d49df743f53a56f0">
  <xsd:schema xmlns:xsd="http://www.w3.org/2001/XMLSchema" xmlns:xs="http://www.w3.org/2001/XMLSchema" xmlns:p="http://schemas.microsoft.com/office/2006/metadata/properties" xmlns:ns2="f4ae24ed-51a1-488e-8539-2c544ff9b8f8" xmlns:ns3="08d6506d-d80a-48ba-9671-1f05194d0044" targetNamespace="http://schemas.microsoft.com/office/2006/metadata/properties" ma:root="true" ma:fieldsID="9689b1b6463cd834843df501f0734c39" ns2:_="" ns3:_="">
    <xsd:import namespace="f4ae24ed-51a1-488e-8539-2c544ff9b8f8"/>
    <xsd:import namespace="08d6506d-d80a-48ba-9671-1f05194d0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e24ed-51a1-488e-8539-2c544ff9b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99f8bc0-2c77-4a7c-93f1-892f5952d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6506d-d80a-48ba-9671-1f05194d004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53aac46-a7eb-4e57-b16f-adea9287e32c}" ma:internalName="TaxCatchAll" ma:showField="CatchAllData" ma:web="08d6506d-d80a-48ba-9671-1f05194d0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1482D0-1B3F-4588-BDD1-3EBA426C572B}"/>
</file>

<file path=customXml/itemProps2.xml><?xml version="1.0" encoding="utf-8"?>
<ds:datastoreItem xmlns:ds="http://schemas.openxmlformats.org/officeDocument/2006/customXml" ds:itemID="{87A94533-DEE9-4509-A68E-B8C2560DCDAE}"/>
</file>

<file path=customXml/itemProps3.xml><?xml version="1.0" encoding="utf-8"?>
<ds:datastoreItem xmlns:ds="http://schemas.openxmlformats.org/officeDocument/2006/customXml" ds:itemID="{A80DBCAF-FBE2-40C8-B6D6-9CD605DB4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Yoke_PcHp</dc:creator>
  <cp:keywords/>
  <dc:description/>
  <cp:lastModifiedBy/>
  <cp:revision/>
  <dcterms:created xsi:type="dcterms:W3CDTF">2019-01-16T02:09:37Z</dcterms:created>
  <dcterms:modified xsi:type="dcterms:W3CDTF">2026-05-28T09:23:14Z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0x010100BDF749E291BD58488F14F910A41064CD</vt:lpwstr>
  </property>
  <property fmtid="{D5CDD505-2E9C-101B-9397-08002B2CF9AE}" pid="3" name="MediaServiceImageTags">
    <vt:lpwstr/>
  </property>
</Properties>
</file>